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jecten per opdrachtgever\Recreatieschap Geestmerambacht\Hackers event (2168)\"/>
    </mc:Choice>
  </mc:AlternateContent>
  <xr:revisionPtr revIDLastSave="0" documentId="8_{03432BEB-C6B0-47D4-BFAD-CA04DA047C87}" xr6:coauthVersionLast="47" xr6:coauthVersionMax="47" xr10:uidLastSave="{00000000-0000-0000-0000-000000000000}"/>
  <bookViews>
    <workbookView xWindow="-120" yWindow="-120" windowWidth="22290" windowHeight="13425" xr2:uid="{170450EE-6FB5-4C74-987E-035423C63371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" l="1"/>
  <c r="L30" i="1" s="1"/>
  <c r="J29" i="1"/>
  <c r="J28" i="1"/>
  <c r="J27" i="1"/>
  <c r="H26" i="1"/>
  <c r="J24" i="1"/>
  <c r="J17" i="1"/>
  <c r="J16" i="1"/>
  <c r="G14" i="1"/>
  <c r="G13" i="1"/>
  <c r="G15" i="1" s="1"/>
  <c r="J12" i="1"/>
  <c r="J11" i="1"/>
  <c r="G9" i="1"/>
  <c r="J8" i="1"/>
  <c r="G8" i="1"/>
  <c r="G10" i="1" s="1"/>
  <c r="J4" i="1"/>
  <c r="F4" i="1"/>
  <c r="K3" i="1"/>
  <c r="L3" i="1" s="1"/>
  <c r="F3" i="1"/>
  <c r="F2" i="1"/>
  <c r="D22" i="1" l="1"/>
  <c r="K4" i="1"/>
  <c r="L4" i="1" s="1"/>
  <c r="J26" i="1"/>
  <c r="J20" i="1"/>
  <c r="D23" i="1" s="1"/>
  <c r="K8" i="1"/>
  <c r="K11" i="1"/>
  <c r="L11" i="1" s="1"/>
  <c r="K12" i="1"/>
  <c r="L12" i="1" s="1"/>
  <c r="K16" i="1"/>
  <c r="L16" i="1" s="1"/>
  <c r="K17" i="1"/>
  <c r="L17" i="1" s="1"/>
  <c r="J32" i="1"/>
  <c r="J34" i="1" s="1"/>
  <c r="D24" i="1" s="1"/>
  <c r="K24" i="1"/>
  <c r="K27" i="1"/>
  <c r="L27" i="1" s="1"/>
  <c r="K28" i="1"/>
  <c r="L28" i="1" s="1"/>
  <c r="K29" i="1"/>
  <c r="L29" i="1" s="1"/>
  <c r="K32" i="1" l="1"/>
  <c r="K34" i="1" s="1"/>
  <c r="L24" i="1"/>
  <c r="L32" i="1" s="1"/>
  <c r="L34" i="1" s="1"/>
  <c r="E24" i="1"/>
  <c r="F24" i="1" s="1"/>
  <c r="K20" i="1"/>
  <c r="L8" i="1"/>
  <c r="L20" i="1" s="1"/>
  <c r="E23" i="1"/>
  <c r="F23" i="1" s="1"/>
  <c r="K26" i="1"/>
  <c r="L26" i="1" s="1"/>
  <c r="D26" i="1"/>
  <c r="H27" i="1" s="1"/>
  <c r="E22" i="1"/>
  <c r="E26" i="1" l="1"/>
  <c r="F22" i="1"/>
  <c r="F26" i="1" s="1"/>
</calcChain>
</file>

<file path=xl/sharedStrings.xml><?xml version="1.0" encoding="utf-8"?>
<sst xmlns="http://schemas.openxmlformats.org/spreadsheetml/2006/main" count="82" uniqueCount="60">
  <si>
    <t>Water</t>
  </si>
  <si>
    <t>Voorschouw</t>
  </si>
  <si>
    <t>Naschouw</t>
  </si>
  <si>
    <t>Totaal waterverbruik</t>
  </si>
  <si>
    <t>Meter</t>
  </si>
  <si>
    <t>PWN, adres nabij Wagenweg 12</t>
  </si>
  <si>
    <t>excl btw</t>
  </si>
  <si>
    <t>btw</t>
  </si>
  <si>
    <t>incl btw</t>
  </si>
  <si>
    <t>Voorschot 3 maanden</t>
  </si>
  <si>
    <t>/3 maanden</t>
  </si>
  <si>
    <t>per maand</t>
  </si>
  <si>
    <t xml:space="preserve"> 1 maand doorbelasten aan organisator (kosten water en vaste kosten)</t>
  </si>
  <si>
    <t>Stroom</t>
  </si>
  <si>
    <t>Nieuwe Stroom</t>
  </si>
  <si>
    <t>2.8.1</t>
  </si>
  <si>
    <t>Meter beneden station camping</t>
  </si>
  <si>
    <t xml:space="preserve">Liander Middenspanning Juli </t>
  </si>
  <si>
    <t>2.8.2</t>
  </si>
  <si>
    <t>16.7</t>
  </si>
  <si>
    <t>CL5</t>
  </si>
  <si>
    <t>Kleine kast</t>
  </si>
  <si>
    <t>Nieuwe  Stroom Juli 2023</t>
  </si>
  <si>
    <t>16.06</t>
  </si>
  <si>
    <t>Wagenweg 24</t>
  </si>
  <si>
    <t>3.0.2.08</t>
  </si>
  <si>
    <t>Meter hoofdaansluiting middenspanning</t>
  </si>
  <si>
    <t>Wagenweg 17</t>
  </si>
  <si>
    <t>94.31.4</t>
  </si>
  <si>
    <t>Voorschot Wagenweg 24</t>
  </si>
  <si>
    <t>18.01</t>
  </si>
  <si>
    <t>1.8.2</t>
  </si>
  <si>
    <t>Grote kast</t>
  </si>
  <si>
    <t>Kenter Juli 2023</t>
  </si>
  <si>
    <t>Middenspanning</t>
  </si>
  <si>
    <t>huur transformator</t>
  </si>
  <si>
    <t>18.0.01</t>
  </si>
  <si>
    <t>meetdienst</t>
  </si>
  <si>
    <t>18.0.02</t>
  </si>
  <si>
    <t>Totaal</t>
  </si>
  <si>
    <t xml:space="preserve"> Kosten gebruikt water en stroom Liquicity</t>
  </si>
  <si>
    <t>ex btw</t>
  </si>
  <si>
    <t>kosten</t>
  </si>
  <si>
    <t>9% btw</t>
  </si>
  <si>
    <t>kosten gebruik</t>
  </si>
  <si>
    <t>21% btw</t>
  </si>
  <si>
    <t>Vaste jaarlijkse kosten verdelen</t>
  </si>
  <si>
    <t>kosten vast</t>
  </si>
  <si>
    <t xml:space="preserve">Liander </t>
  </si>
  <si>
    <t>jan-dec</t>
  </si>
  <si>
    <t xml:space="preserve">vaste kosten gedeeld door 12 maanden. </t>
  </si>
  <si>
    <t>Liander - gebruiksvergoeding jul</t>
  </si>
  <si>
    <t xml:space="preserve">mei </t>
  </si>
  <si>
    <t>Nieuwe Stroom  Wagenweg 17</t>
  </si>
  <si>
    <t>Nieuwe Stroom Wagenweg 24</t>
  </si>
  <si>
    <t>Kenter</t>
  </si>
  <si>
    <t>Solcon - glasvezel</t>
  </si>
  <si>
    <t>/3 organistoren</t>
  </si>
  <si>
    <t>per organisator</t>
  </si>
  <si>
    <t>Vaste kosten Liquicity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</si>
</sst>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[$€-2]\ * #,##0.00_ ;_ [$€-2]\ * \-#,##0.00_ ;_ [$€-2]\ * &quot;-&quot;??_ ;_ @_ "/>
    <numFmt numFmtId="165" formatCode="_ [$€-413]\ * #,##0.00_ ;_ [$€-413]\ * \-#,##0.00_ ;_ [$€-413]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trike/>
      <sz val="11"/>
      <color theme="1"/>
      <name val="Calibri"/>
      <family val="2"/>
      <scheme val="minor"/>
    </font>
    <font>
      <strike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3" fillId="0" borderId="0" xfId="1"/>
    <xf numFmtId="0" fontId="3" fillId="0" borderId="0" xfId="1" applyAlignment="1">
      <alignment horizontal="left"/>
    </xf>
    <xf numFmtId="3" fontId="3" fillId="0" borderId="0" xfId="1" applyNumberFormat="1" applyAlignment="1">
      <alignment horizontal="center"/>
    </xf>
    <xf numFmtId="0" fontId="2" fillId="0" borderId="0" xfId="2" applyFont="1"/>
    <xf numFmtId="0" fontId="1" fillId="0" borderId="0" xfId="2"/>
    <xf numFmtId="0" fontId="3" fillId="0" borderId="0" xfId="1" applyAlignment="1">
      <alignment horizontal="center"/>
    </xf>
    <xf numFmtId="3" fontId="3" fillId="0" borderId="0" xfId="1" applyNumberFormat="1"/>
    <xf numFmtId="44" fontId="0" fillId="0" borderId="0" xfId="3" applyFont="1"/>
    <xf numFmtId="3" fontId="3" fillId="2" borderId="0" xfId="1" applyNumberFormat="1" applyFill="1" applyAlignment="1">
      <alignment horizontal="center"/>
    </xf>
    <xf numFmtId="0" fontId="0" fillId="3" borderId="0" xfId="0" applyFill="1"/>
    <xf numFmtId="17" fontId="3" fillId="0" borderId="0" xfId="1" applyNumberFormat="1" applyAlignment="1">
      <alignment horizontal="left"/>
    </xf>
    <xf numFmtId="164" fontId="3" fillId="0" borderId="0" xfId="1" applyNumberFormat="1"/>
    <xf numFmtId="0" fontId="0" fillId="4" borderId="0" xfId="0" applyFill="1"/>
    <xf numFmtId="44" fontId="5" fillId="0" borderId="0" xfId="3" applyFont="1" applyFill="1"/>
    <xf numFmtId="0" fontId="3" fillId="0" borderId="1" xfId="1" applyBorder="1"/>
    <xf numFmtId="44" fontId="3" fillId="5" borderId="0" xfId="1" applyNumberFormat="1" applyFill="1"/>
    <xf numFmtId="0" fontId="3" fillId="0" borderId="2" xfId="1" applyBorder="1"/>
    <xf numFmtId="0" fontId="3" fillId="0" borderId="3" xfId="1" applyBorder="1"/>
    <xf numFmtId="164" fontId="3" fillId="0" borderId="0" xfId="1" applyNumberFormat="1" applyAlignment="1">
      <alignment horizontal="left"/>
    </xf>
    <xf numFmtId="0" fontId="3" fillId="0" borderId="3" xfId="1" applyBorder="1" applyAlignment="1">
      <alignment horizontal="center"/>
    </xf>
    <xf numFmtId="44" fontId="3" fillId="0" borderId="0" xfId="1" applyNumberFormat="1"/>
    <xf numFmtId="44" fontId="3" fillId="0" borderId="0" xfId="1" applyNumberFormat="1" applyAlignment="1">
      <alignment horizontal="center"/>
    </xf>
    <xf numFmtId="44" fontId="1" fillId="0" borderId="0" xfId="2" applyNumberFormat="1"/>
    <xf numFmtId="165" fontId="3" fillId="0" borderId="0" xfId="1" applyNumberFormat="1"/>
    <xf numFmtId="9" fontId="3" fillId="0" borderId="0" xfId="1" applyNumberFormat="1"/>
    <xf numFmtId="0" fontId="3" fillId="0" borderId="4" xfId="1" applyBorder="1" applyAlignment="1">
      <alignment horizontal="center" vertical="top" wrapText="1"/>
    </xf>
    <xf numFmtId="0" fontId="3" fillId="0" borderId="5" xfId="1" applyBorder="1" applyAlignment="1">
      <alignment horizontal="center" vertical="top" wrapText="1"/>
    </xf>
    <xf numFmtId="0" fontId="3" fillId="0" borderId="6" xfId="1" applyBorder="1" applyAlignment="1">
      <alignment horizontal="center" vertical="top" wrapText="1"/>
    </xf>
    <xf numFmtId="44" fontId="0" fillId="0" borderId="0" xfId="4" applyFont="1"/>
    <xf numFmtId="0" fontId="3" fillId="0" borderId="7" xfId="1" applyBorder="1" applyAlignment="1">
      <alignment horizontal="center" vertical="top" wrapText="1"/>
    </xf>
    <xf numFmtId="0" fontId="3" fillId="0" borderId="0" xfId="1" applyAlignment="1">
      <alignment horizontal="center" vertical="top" wrapText="1"/>
    </xf>
    <xf numFmtId="0" fontId="3" fillId="0" borderId="8" xfId="1" applyBorder="1" applyAlignment="1">
      <alignment horizontal="center" vertical="top" wrapText="1"/>
    </xf>
    <xf numFmtId="0" fontId="3" fillId="0" borderId="9" xfId="1" applyBorder="1"/>
    <xf numFmtId="44" fontId="3" fillId="5" borderId="1" xfId="1" applyNumberFormat="1" applyFill="1" applyBorder="1" applyAlignment="1">
      <alignment horizontal="center"/>
    </xf>
    <xf numFmtId="0" fontId="3" fillId="0" borderId="10" xfId="1" applyBorder="1"/>
    <xf numFmtId="0" fontId="6" fillId="0" borderId="0" xfId="2" applyFont="1"/>
    <xf numFmtId="165" fontId="7" fillId="0" borderId="0" xfId="1" applyNumberFormat="1" applyFont="1"/>
    <xf numFmtId="9" fontId="7" fillId="0" borderId="0" xfId="1" applyNumberFormat="1" applyFont="1"/>
    <xf numFmtId="0" fontId="7" fillId="0" borderId="0" xfId="1" applyFont="1"/>
    <xf numFmtId="0" fontId="3" fillId="0" borderId="11" xfId="1" applyBorder="1" applyAlignment="1">
      <alignment horizontal="center" vertical="top" wrapText="1"/>
    </xf>
    <xf numFmtId="0" fontId="3" fillId="0" borderId="12" xfId="1" applyBorder="1" applyAlignment="1">
      <alignment horizontal="center" vertical="top" wrapText="1"/>
    </xf>
    <xf numFmtId="0" fontId="3" fillId="0" borderId="13" xfId="1" applyBorder="1" applyAlignment="1">
      <alignment horizontal="center" vertical="top" wrapText="1"/>
    </xf>
    <xf numFmtId="165" fontId="3" fillId="5" borderId="0" xfId="1" applyNumberFormat="1" applyFill="1"/>
  </cellXfs>
  <cellStyles count="5">
    <cellStyle name="Standaard" xfId="0" builtinId="0"/>
    <cellStyle name="Standaard 2" xfId="1" xr:uid="{B3FE67F4-0D57-4DBB-BC8B-B46B72CAD78A}"/>
    <cellStyle name="Standaard 2 2" xfId="2" xr:uid="{963C5B7A-D6EF-4A16-B427-98A84AE4EA24}"/>
    <cellStyle name="Valuta 2 2" xfId="3" xr:uid="{B65BB0E0-F784-4C81-99E5-DFD6979CDDBC}"/>
    <cellStyle name="Valuta 3" xfId="4" xr:uid="{0D27729E-5684-4A1F-AB00-C18EB5A40E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projecten%20per%20opdrachtgever\Recreatieschap%20Geestmerambacht\Indian%20Summer%20Festival%20(1892)\2024\Financi&#235;le%20projectadministratie\berekening%20stroom%202024%20GAB.xlsx" TargetMode="External"/><Relationship Id="rId1" Type="http://schemas.openxmlformats.org/officeDocument/2006/relationships/externalLinkPath" Target="/projecten%20per%20opdrachtgever/Recreatieschap%20Geestmerambacht/Indian%20Summer%20Festival%20(1892)/2024/Financi&#235;le%20projectadministratie/berekening%20stroom%202024%20G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deling stroomkosten"/>
      <sheetName val="Prognose Variabel"/>
      <sheetName val="wagenweg 24"/>
      <sheetName val="wagenweg 17"/>
      <sheetName val="wagenweg 17 water"/>
      <sheetName val="ISF"/>
      <sheetName val="Liquicity (2)"/>
      <sheetName val="Liquicity"/>
    </sheetNames>
    <sheetDataSet>
      <sheetData sheetId="0"/>
      <sheetData sheetId="1">
        <row r="35">
          <cell r="AH35">
            <v>147</v>
          </cell>
        </row>
        <row r="36">
          <cell r="AH36">
            <v>185</v>
          </cell>
        </row>
        <row r="37">
          <cell r="AH37">
            <v>332</v>
          </cell>
        </row>
      </sheetData>
      <sheetData sheetId="2">
        <row r="12">
          <cell r="G12">
            <v>107.31</v>
          </cell>
        </row>
        <row r="22">
          <cell r="G22">
            <v>212.65</v>
          </cell>
        </row>
        <row r="26">
          <cell r="I26">
            <v>2339.1500000000005</v>
          </cell>
        </row>
        <row r="46">
          <cell r="G46">
            <v>4780.8500000000004</v>
          </cell>
        </row>
        <row r="51">
          <cell r="I51">
            <v>6858.11</v>
          </cell>
        </row>
        <row r="53">
          <cell r="G53">
            <v>1441.26</v>
          </cell>
        </row>
        <row r="59">
          <cell r="G59">
            <v>3128.53</v>
          </cell>
        </row>
      </sheetData>
      <sheetData sheetId="3">
        <row r="10">
          <cell r="G10">
            <v>216.44</v>
          </cell>
        </row>
        <row r="15">
          <cell r="I15">
            <v>2560.7499999999995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37C20-792B-479B-9875-E6A5C3ED0772}">
  <dimension ref="B1:W34"/>
  <sheetViews>
    <sheetView tabSelected="1" workbookViewId="0">
      <selection activeCell="F6" sqref="F6"/>
    </sheetView>
  </sheetViews>
  <sheetFormatPr defaultColWidth="8.85546875" defaultRowHeight="12.75" x14ac:dyDescent="0.2"/>
  <cols>
    <col min="1" max="1" width="4" style="3" customWidth="1"/>
    <col min="2" max="2" width="14.42578125" style="3" customWidth="1"/>
    <col min="3" max="3" width="15.140625" style="3" customWidth="1"/>
    <col min="4" max="4" width="14.28515625" style="3" customWidth="1"/>
    <col min="5" max="5" width="10.5703125" style="3" customWidth="1"/>
    <col min="6" max="6" width="19.7109375" style="3" customWidth="1"/>
    <col min="7" max="7" width="11" style="3" customWidth="1"/>
    <col min="8" max="8" width="9.7109375" style="3" customWidth="1"/>
    <col min="9" max="9" width="32.42578125" style="3" customWidth="1"/>
    <col min="10" max="11" width="12.85546875" style="3" customWidth="1"/>
    <col min="12" max="12" width="14.42578125" style="3" customWidth="1"/>
    <col min="13" max="13" width="13" style="3" customWidth="1"/>
    <col min="14" max="15" width="12.5703125" style="3" customWidth="1"/>
    <col min="16" max="16" width="12" style="3" customWidth="1"/>
    <col min="17" max="16384" width="8.85546875" style="3"/>
  </cols>
  <sheetData>
    <row r="1" spans="3:23" x14ac:dyDescent="0.2">
      <c r="C1" s="1" t="s">
        <v>0</v>
      </c>
      <c r="D1" s="2" t="s">
        <v>1</v>
      </c>
      <c r="E1" s="2" t="s">
        <v>2</v>
      </c>
      <c r="F1" s="2" t="s">
        <v>3</v>
      </c>
    </row>
    <row r="2" spans="3:23" ht="15" x14ac:dyDescent="0.25">
      <c r="C2" s="4" t="s">
        <v>4</v>
      </c>
      <c r="D2" s="5"/>
      <c r="E2" s="5"/>
      <c r="F2" s="5">
        <f>'[1]Prognose Variabel'!AH35</f>
        <v>147</v>
      </c>
      <c r="I2" s="6" t="s">
        <v>5</v>
      </c>
      <c r="J2" s="7" t="s">
        <v>6</v>
      </c>
      <c r="K2" s="7" t="s">
        <v>7</v>
      </c>
      <c r="L2" s="7" t="s">
        <v>8</v>
      </c>
      <c r="M2" s="7"/>
      <c r="N2" s="7"/>
    </row>
    <row r="3" spans="3:23" ht="15" x14ac:dyDescent="0.25">
      <c r="C3" s="8"/>
      <c r="D3" s="9"/>
      <c r="E3" s="9"/>
      <c r="F3" s="5">
        <f>'[1]Prognose Variabel'!AH36</f>
        <v>185</v>
      </c>
      <c r="I3" s="7" t="s">
        <v>9</v>
      </c>
      <c r="J3" s="10">
        <v>1122.02</v>
      </c>
      <c r="K3" s="10">
        <f>J3*0.09</f>
        <v>100.98179999999999</v>
      </c>
      <c r="L3" s="10">
        <f>SUM(J3:K3)</f>
        <v>1223.0018</v>
      </c>
      <c r="M3" s="7" t="s">
        <v>10</v>
      </c>
    </row>
    <row r="4" spans="3:23" ht="15" x14ac:dyDescent="0.25">
      <c r="F4" s="11">
        <f>'[1]Prognose Variabel'!AH37</f>
        <v>332</v>
      </c>
      <c r="G4" s="2"/>
      <c r="I4" s="7" t="s">
        <v>11</v>
      </c>
      <c r="J4" s="10">
        <f>J3/3</f>
        <v>374.00666666666666</v>
      </c>
      <c r="K4" s="10">
        <f>J4*0.09</f>
        <v>33.660599999999995</v>
      </c>
      <c r="L4" s="10">
        <f>SUM(J4:K4)</f>
        <v>407.66726666666665</v>
      </c>
      <c r="M4" s="7" t="s">
        <v>12</v>
      </c>
      <c r="N4" s="7"/>
      <c r="S4" s="7"/>
      <c r="T4" s="7"/>
      <c r="U4" s="7"/>
      <c r="V4" s="7"/>
      <c r="W4" s="7"/>
    </row>
    <row r="5" spans="3:23" ht="15" x14ac:dyDescent="0.25">
      <c r="C5" s="2" t="s">
        <v>13</v>
      </c>
      <c r="D5" s="2" t="s">
        <v>1</v>
      </c>
      <c r="E5" s="2" t="s">
        <v>2</v>
      </c>
      <c r="S5" s="7"/>
      <c r="T5" s="7"/>
      <c r="U5" s="7"/>
      <c r="V5" s="7"/>
      <c r="W5" s="7"/>
    </row>
    <row r="6" spans="3:23" ht="15" x14ac:dyDescent="0.25">
      <c r="C6" s="2" t="s">
        <v>14</v>
      </c>
      <c r="S6" s="7"/>
      <c r="T6" s="7"/>
      <c r="U6" s="7"/>
      <c r="V6" s="7"/>
      <c r="W6" s="7"/>
    </row>
    <row r="7" spans="3:23" ht="15" x14ac:dyDescent="0.25">
      <c r="C7" s="3" t="s">
        <v>15</v>
      </c>
      <c r="D7" t="s">
        <v>16</v>
      </c>
      <c r="E7"/>
      <c r="F7"/>
      <c r="G7"/>
      <c r="I7" s="2" t="s">
        <v>17</v>
      </c>
      <c r="J7" s="7"/>
      <c r="K7" s="7"/>
      <c r="L7" s="7"/>
    </row>
    <row r="8" spans="3:23" ht="15" x14ac:dyDescent="0.25">
      <c r="C8" s="4" t="s">
        <v>18</v>
      </c>
      <c r="D8">
        <v>3476</v>
      </c>
      <c r="E8"/>
      <c r="F8" s="12">
        <v>3616</v>
      </c>
      <c r="G8">
        <f>F8-D8</f>
        <v>140</v>
      </c>
      <c r="I8" s="13"/>
      <c r="J8" s="14">
        <f>'[1]wagenweg 24'!G59</f>
        <v>3128.53</v>
      </c>
      <c r="K8" s="14">
        <f>J8*0.21</f>
        <v>656.99130000000002</v>
      </c>
      <c r="L8" s="14">
        <f>SUM(J8:K8)</f>
        <v>3785.5213000000003</v>
      </c>
    </row>
    <row r="9" spans="3:23" ht="15" x14ac:dyDescent="0.25">
      <c r="C9" s="4" t="s">
        <v>19</v>
      </c>
      <c r="D9">
        <v>2600</v>
      </c>
      <c r="E9"/>
      <c r="F9" s="12">
        <v>2688</v>
      </c>
      <c r="G9">
        <f>F9-D9</f>
        <v>88</v>
      </c>
      <c r="J9" s="14"/>
      <c r="K9" s="14"/>
      <c r="L9" s="14"/>
    </row>
    <row r="10" spans="3:23" ht="15" x14ac:dyDescent="0.25">
      <c r="C10" s="4" t="s">
        <v>20</v>
      </c>
      <c r="D10" t="s">
        <v>21</v>
      </c>
      <c r="E10"/>
      <c r="F10"/>
      <c r="G10" s="15">
        <f>G8+G9</f>
        <v>228</v>
      </c>
      <c r="I10" s="2" t="s">
        <v>22</v>
      </c>
      <c r="J10" s="7"/>
      <c r="K10" s="7"/>
      <c r="L10" s="7"/>
    </row>
    <row r="11" spans="3:23" ht="15" x14ac:dyDescent="0.25">
      <c r="C11" s="4" t="s">
        <v>23</v>
      </c>
      <c r="D11"/>
      <c r="E11"/>
      <c r="F11"/>
      <c r="G11"/>
      <c r="I11" s="3" t="s">
        <v>24</v>
      </c>
      <c r="J11" s="10">
        <f>'[1]wagenweg 24'!G46</f>
        <v>4780.8500000000004</v>
      </c>
      <c r="K11" s="10">
        <f>J11*0.21</f>
        <v>1003.9785000000001</v>
      </c>
      <c r="L11" s="10">
        <f>SUM(J11:K11)</f>
        <v>5784.8285000000005</v>
      </c>
    </row>
    <row r="12" spans="3:23" ht="15" x14ac:dyDescent="0.25">
      <c r="C12" s="4" t="s">
        <v>25</v>
      </c>
      <c r="D12" t="s">
        <v>26</v>
      </c>
      <c r="E12"/>
      <c r="F12"/>
      <c r="G12"/>
      <c r="I12" s="3" t="s">
        <v>27</v>
      </c>
      <c r="J12" s="10">
        <f>'[1]wagenweg 17'!G10</f>
        <v>216.44</v>
      </c>
      <c r="K12" s="10">
        <f>J12*0.21</f>
        <v>45.452399999999997</v>
      </c>
      <c r="L12" s="10">
        <f>SUM(J12:K12)</f>
        <v>261.89240000000001</v>
      </c>
    </row>
    <row r="13" spans="3:23" ht="15" x14ac:dyDescent="0.25">
      <c r="C13" s="4" t="s">
        <v>28</v>
      </c>
      <c r="D13">
        <v>313</v>
      </c>
      <c r="E13"/>
      <c r="F13" s="12">
        <v>365</v>
      </c>
      <c r="G13">
        <f>F13-D13</f>
        <v>52</v>
      </c>
      <c r="I13" s="3" t="s">
        <v>29</v>
      </c>
      <c r="J13" s="10">
        <v>0</v>
      </c>
      <c r="K13" s="10"/>
      <c r="L13" s="10"/>
    </row>
    <row r="14" spans="3:23" ht="15" x14ac:dyDescent="0.25">
      <c r="C14" s="4" t="s">
        <v>30</v>
      </c>
      <c r="D14">
        <v>143</v>
      </c>
      <c r="E14"/>
      <c r="F14" s="12">
        <v>178</v>
      </c>
      <c r="G14">
        <f>F14-D14</f>
        <v>35</v>
      </c>
    </row>
    <row r="15" spans="3:23" ht="15" x14ac:dyDescent="0.25">
      <c r="C15" s="4" t="s">
        <v>31</v>
      </c>
      <c r="D15" t="s">
        <v>32</v>
      </c>
      <c r="E15"/>
      <c r="F15"/>
      <c r="G15" s="15">
        <f>G13+G14</f>
        <v>87</v>
      </c>
      <c r="I15" s="2" t="s">
        <v>33</v>
      </c>
    </row>
    <row r="16" spans="3:23" ht="15" x14ac:dyDescent="0.25">
      <c r="C16" s="1" t="s">
        <v>34</v>
      </c>
      <c r="D16" s="8"/>
      <c r="E16" s="8"/>
      <c r="G16" s="8"/>
      <c r="H16" s="8"/>
      <c r="I16" s="3" t="s">
        <v>35</v>
      </c>
      <c r="J16" s="16">
        <f>'[1]wagenweg 24'!G22</f>
        <v>212.65</v>
      </c>
      <c r="K16" s="10">
        <f>J16*0.21</f>
        <v>44.656500000000001</v>
      </c>
      <c r="L16" s="10">
        <f>SUM(J16:K16)</f>
        <v>257.30650000000003</v>
      </c>
    </row>
    <row r="17" spans="2:22" ht="15" x14ac:dyDescent="0.25">
      <c r="C17" s="4" t="s">
        <v>36</v>
      </c>
      <c r="G17" s="8"/>
      <c r="H17" s="8"/>
      <c r="I17" s="3" t="s">
        <v>37</v>
      </c>
      <c r="J17" s="16">
        <f>'[1]wagenweg 24'!G12/3</f>
        <v>35.770000000000003</v>
      </c>
      <c r="K17" s="10">
        <f>J17*0.21</f>
        <v>7.5117000000000003</v>
      </c>
      <c r="L17" s="10">
        <f>SUM(J17:K17)</f>
        <v>43.281700000000001</v>
      </c>
    </row>
    <row r="18" spans="2:22" ht="15" x14ac:dyDescent="0.25">
      <c r="C18" s="4" t="s">
        <v>38</v>
      </c>
      <c r="F18" s="15">
        <v>10580</v>
      </c>
    </row>
    <row r="19" spans="2:22" ht="15" x14ac:dyDescent="0.25">
      <c r="F19" s="15">
        <v>16049</v>
      </c>
      <c r="J19" s="7" t="s">
        <v>6</v>
      </c>
      <c r="K19" s="7" t="s">
        <v>7</v>
      </c>
      <c r="L19" s="7" t="s">
        <v>8</v>
      </c>
    </row>
    <row r="20" spans="2:22" x14ac:dyDescent="0.2">
      <c r="B20" s="17"/>
      <c r="C20" s="17"/>
      <c r="D20" s="17"/>
      <c r="E20" s="17"/>
      <c r="F20" s="17"/>
      <c r="G20" s="17"/>
      <c r="I20" s="3" t="s">
        <v>39</v>
      </c>
      <c r="J20" s="18">
        <f>SUM(J6:J19)</f>
        <v>8374.2400000000016</v>
      </c>
      <c r="K20" s="18">
        <f>SUM(K6:K19)</f>
        <v>1758.5904</v>
      </c>
      <c r="L20" s="18">
        <f>SUM(L6:L19)</f>
        <v>10132.830400000001</v>
      </c>
      <c r="M20" s="2" t="s">
        <v>40</v>
      </c>
    </row>
    <row r="21" spans="2:22" x14ac:dyDescent="0.2">
      <c r="B21" s="19"/>
      <c r="D21" s="3" t="s">
        <v>41</v>
      </c>
      <c r="E21" s="3" t="s">
        <v>7</v>
      </c>
      <c r="F21" s="3" t="s">
        <v>8</v>
      </c>
      <c r="G21" s="20"/>
      <c r="H21" s="8"/>
      <c r="I21" s="8"/>
      <c r="J21" s="8"/>
      <c r="K21" s="8"/>
      <c r="L21" s="8"/>
    </row>
    <row r="22" spans="2:22" x14ac:dyDescent="0.2">
      <c r="B22" s="19" t="s">
        <v>0</v>
      </c>
      <c r="C22" s="21" t="s">
        <v>42</v>
      </c>
      <c r="D22" s="14">
        <f>J4</f>
        <v>374.00666666666666</v>
      </c>
      <c r="E22" s="14">
        <f>D22*0.09</f>
        <v>33.660599999999995</v>
      </c>
      <c r="F22" s="14">
        <f>SUM(D22:E22)</f>
        <v>407.66726666666665</v>
      </c>
      <c r="G22" s="22" t="s">
        <v>43</v>
      </c>
      <c r="H22" s="8"/>
      <c r="I22" s="8"/>
      <c r="J22" s="8"/>
      <c r="K22" s="8"/>
      <c r="L22" s="8"/>
    </row>
    <row r="23" spans="2:22" ht="15.75" thickBot="1" x14ac:dyDescent="0.3">
      <c r="B23" s="19" t="s">
        <v>13</v>
      </c>
      <c r="C23" s="3" t="s">
        <v>44</v>
      </c>
      <c r="D23" s="23">
        <f>J20</f>
        <v>8374.2400000000016</v>
      </c>
      <c r="E23" s="14">
        <f>D23*0.21</f>
        <v>1758.5904000000003</v>
      </c>
      <c r="F23" s="24">
        <f>SUM(D23:E23)</f>
        <v>10132.830400000003</v>
      </c>
      <c r="G23" s="22" t="s">
        <v>45</v>
      </c>
      <c r="H23" s="8"/>
      <c r="I23" s="6" t="s">
        <v>46</v>
      </c>
    </row>
    <row r="24" spans="2:22" ht="15" customHeight="1" x14ac:dyDescent="0.25">
      <c r="B24" s="19"/>
      <c r="C24" s="3" t="s">
        <v>47</v>
      </c>
      <c r="D24" s="25">
        <f>J34</f>
        <v>9856.2566666666662</v>
      </c>
      <c r="E24" s="25">
        <f>D24*0.21</f>
        <v>2069.8138999999996</v>
      </c>
      <c r="F24" s="25">
        <f>SUM(D24:E24)</f>
        <v>11926.070566666665</v>
      </c>
      <c r="G24" s="22" t="s">
        <v>45</v>
      </c>
      <c r="H24" s="23"/>
      <c r="I24" s="7" t="s">
        <v>48</v>
      </c>
      <c r="J24" s="26">
        <f>'[1]wagenweg 24'!G53*12</f>
        <v>17295.12</v>
      </c>
      <c r="K24" s="26">
        <f>J24*0.21</f>
        <v>3631.9751999999999</v>
      </c>
      <c r="L24" s="26">
        <f>SUM(J24:K24)</f>
        <v>20927.0952</v>
      </c>
      <c r="M24" s="27">
        <v>0.21</v>
      </c>
      <c r="N24" s="3" t="s">
        <v>7</v>
      </c>
      <c r="O24" s="3" t="s">
        <v>49</v>
      </c>
      <c r="Q24" s="28" t="s">
        <v>50</v>
      </c>
      <c r="R24" s="29"/>
      <c r="S24" s="29"/>
      <c r="T24" s="29"/>
      <c r="U24" s="29"/>
      <c r="V24" s="30"/>
    </row>
    <row r="25" spans="2:22" ht="15" x14ac:dyDescent="0.25">
      <c r="B25" s="19"/>
      <c r="D25" s="8"/>
      <c r="E25" s="8"/>
      <c r="F25" s="8"/>
      <c r="G25" s="20"/>
      <c r="I25" s="7"/>
      <c r="J25" s="26"/>
      <c r="K25" s="26"/>
      <c r="L25" s="26"/>
      <c r="M25" s="27"/>
      <c r="O25" s="31"/>
      <c r="Q25" s="32"/>
      <c r="R25" s="33"/>
      <c r="S25" s="33"/>
      <c r="T25" s="33"/>
      <c r="U25" s="33"/>
      <c r="V25" s="34"/>
    </row>
    <row r="26" spans="2:22" ht="15" x14ac:dyDescent="0.25">
      <c r="B26" s="35"/>
      <c r="C26" s="17" t="s">
        <v>39</v>
      </c>
      <c r="D26" s="36">
        <f t="shared" ref="D26" si="0">SUM(D22:D25)</f>
        <v>18604.503333333334</v>
      </c>
      <c r="E26" s="36">
        <f>SUM(E22:E25)</f>
        <v>3862.0648999999999</v>
      </c>
      <c r="F26" s="36">
        <f>SUM(F22:F25)</f>
        <v>22466.568233333335</v>
      </c>
      <c r="G26" s="37"/>
      <c r="H26" s="3">
        <f>SUM(F18:F19)</f>
        <v>26629</v>
      </c>
      <c r="I26" s="38" t="s">
        <v>51</v>
      </c>
      <c r="J26" s="39">
        <f>J8</f>
        <v>3128.53</v>
      </c>
      <c r="K26" s="39">
        <f t="shared" ref="K26:K30" si="1">J26*0.21</f>
        <v>656.99130000000002</v>
      </c>
      <c r="L26" s="39">
        <f t="shared" ref="L26:L30" si="2">SUM(J26:K26)</f>
        <v>3785.5213000000003</v>
      </c>
      <c r="M26" s="40">
        <v>0.21</v>
      </c>
      <c r="N26" s="41" t="s">
        <v>7</v>
      </c>
      <c r="O26" s="41" t="s">
        <v>52</v>
      </c>
      <c r="Q26" s="32"/>
      <c r="R26" s="33"/>
      <c r="S26" s="33"/>
      <c r="T26" s="33"/>
      <c r="U26" s="33"/>
      <c r="V26" s="34"/>
    </row>
    <row r="27" spans="2:22" ht="15" x14ac:dyDescent="0.25">
      <c r="H27" s="23">
        <f>D26/H26</f>
        <v>0.69865572621327632</v>
      </c>
      <c r="I27" s="7" t="s">
        <v>53</v>
      </c>
      <c r="J27" s="26">
        <f>'[1]wagenweg 17'!I15</f>
        <v>2560.7499999999995</v>
      </c>
      <c r="K27" s="26">
        <f t="shared" si="1"/>
        <v>537.75749999999994</v>
      </c>
      <c r="L27" s="26">
        <f t="shared" si="2"/>
        <v>3098.5074999999997</v>
      </c>
      <c r="M27" s="27">
        <v>0.21</v>
      </c>
      <c r="N27" s="3" t="s">
        <v>7</v>
      </c>
      <c r="O27" s="3" t="s">
        <v>49</v>
      </c>
      <c r="Q27" s="32"/>
      <c r="R27" s="33"/>
      <c r="S27" s="33"/>
      <c r="T27" s="33"/>
      <c r="U27" s="33"/>
      <c r="V27" s="34"/>
    </row>
    <row r="28" spans="2:22" ht="15" x14ac:dyDescent="0.25">
      <c r="I28" s="7" t="s">
        <v>54</v>
      </c>
      <c r="J28" s="26">
        <f>'[1]wagenweg 24'!I51</f>
        <v>6858.11</v>
      </c>
      <c r="K28" s="26">
        <f t="shared" si="1"/>
        <v>1440.2030999999999</v>
      </c>
      <c r="L28" s="26">
        <f t="shared" si="2"/>
        <v>8298.3130999999994</v>
      </c>
      <c r="M28" s="27">
        <v>0.21</v>
      </c>
      <c r="N28" s="3" t="s">
        <v>7</v>
      </c>
      <c r="O28" s="3" t="s">
        <v>49</v>
      </c>
      <c r="Q28" s="32"/>
      <c r="R28" s="33"/>
      <c r="S28" s="33"/>
      <c r="T28" s="33"/>
      <c r="U28" s="33"/>
      <c r="V28" s="34"/>
    </row>
    <row r="29" spans="2:22" ht="15" x14ac:dyDescent="0.25">
      <c r="I29" s="7" t="s">
        <v>55</v>
      </c>
      <c r="J29" s="26">
        <f>'[1]wagenweg 24'!I26</f>
        <v>2339.1500000000005</v>
      </c>
      <c r="K29" s="26">
        <f t="shared" si="1"/>
        <v>491.22150000000011</v>
      </c>
      <c r="L29" s="26">
        <f t="shared" si="2"/>
        <v>2830.3715000000007</v>
      </c>
      <c r="M29" s="27">
        <v>0.21</v>
      </c>
      <c r="N29" s="3" t="s">
        <v>7</v>
      </c>
      <c r="O29" s="3" t="s">
        <v>49</v>
      </c>
      <c r="Q29" s="32"/>
      <c r="R29" s="33"/>
      <c r="S29" s="33"/>
      <c r="T29" s="33"/>
      <c r="U29" s="33"/>
      <c r="V29" s="34"/>
    </row>
    <row r="30" spans="2:22" ht="15" x14ac:dyDescent="0.25">
      <c r="I30" s="7" t="s">
        <v>56</v>
      </c>
      <c r="J30" s="26">
        <v>515.64</v>
      </c>
      <c r="K30" s="26">
        <f t="shared" si="1"/>
        <v>108.28439999999999</v>
      </c>
      <c r="L30" s="26">
        <f t="shared" si="2"/>
        <v>623.92439999999999</v>
      </c>
      <c r="M30" s="27">
        <v>0.21</v>
      </c>
      <c r="N30" s="3" t="s">
        <v>7</v>
      </c>
      <c r="O30" s="3" t="s">
        <v>49</v>
      </c>
      <c r="Q30" s="32"/>
      <c r="R30" s="33"/>
      <c r="S30" s="33"/>
      <c r="T30" s="33"/>
      <c r="U30" s="33"/>
      <c r="V30" s="34"/>
    </row>
    <row r="31" spans="2:22" ht="15" x14ac:dyDescent="0.25">
      <c r="I31" s="7"/>
      <c r="J31" s="26"/>
      <c r="K31" s="26"/>
      <c r="L31" s="26"/>
      <c r="Q31" s="32"/>
      <c r="R31" s="33"/>
      <c r="S31" s="33"/>
      <c r="T31" s="33"/>
      <c r="U31" s="33"/>
      <c r="V31" s="34"/>
    </row>
    <row r="32" spans="2:22" ht="15.75" thickBot="1" x14ac:dyDescent="0.3">
      <c r="I32" s="7" t="s">
        <v>39</v>
      </c>
      <c r="J32" s="26">
        <f>SUM(J24:J25,J27:J30)</f>
        <v>29568.77</v>
      </c>
      <c r="K32" s="26">
        <f t="shared" ref="K32" si="3">SUM(K24:K25,K27:K30)</f>
        <v>6209.4416999999985</v>
      </c>
      <c r="L32" s="26">
        <f>SUM(L24:L25,L27:L30)</f>
        <v>35778.2117</v>
      </c>
      <c r="Q32" s="42"/>
      <c r="R32" s="43"/>
      <c r="S32" s="43"/>
      <c r="T32" s="43"/>
      <c r="U32" s="43"/>
      <c r="V32" s="44"/>
    </row>
    <row r="33" spans="9:13" ht="15" x14ac:dyDescent="0.25">
      <c r="I33" s="7"/>
      <c r="M33" s="3" t="s">
        <v>57</v>
      </c>
    </row>
    <row r="34" spans="9:13" ht="15" x14ac:dyDescent="0.25">
      <c r="I34" s="7" t="s">
        <v>58</v>
      </c>
      <c r="J34" s="45">
        <f>J32/3</f>
        <v>9856.2566666666662</v>
      </c>
      <c r="K34" s="45">
        <f>K32/3</f>
        <v>2069.8138999999996</v>
      </c>
      <c r="L34" s="45">
        <f>L32/3</f>
        <v>11926.070566666667</v>
      </c>
      <c r="M34" s="2" t="s">
        <v>59</v>
      </c>
    </row>
  </sheetData>
  <mergeCells count="1">
    <mergeCell ref="Q24:V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Bressers</dc:creator>
  <cp:lastModifiedBy>Jessica Bressers</cp:lastModifiedBy>
  <dcterms:created xsi:type="dcterms:W3CDTF">2024-10-02T15:38:50Z</dcterms:created>
  <dcterms:modified xsi:type="dcterms:W3CDTF">2024-10-02T15:39:47Z</dcterms:modified>
</cp:coreProperties>
</file>